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I\LAS\LAS PTUJ\ENE-RAST 2019-2020\"/>
    </mc:Choice>
  </mc:AlternateContent>
  <bookViews>
    <workbookView xWindow="0" yWindow="0" windowWidth="28800" windowHeight="12330"/>
  </bookViews>
  <sheets>
    <sheet name="Lis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L27" i="1"/>
  <c r="C114" i="1"/>
  <c r="C64" i="1"/>
  <c r="Q18" i="1"/>
  <c r="Q15" i="1"/>
  <c r="Q11" i="1"/>
  <c r="Q10" i="1"/>
  <c r="L58" i="1"/>
  <c r="L55" i="1"/>
  <c r="N52" i="1"/>
  <c r="L52" i="1"/>
  <c r="L42" i="1"/>
  <c r="C109" i="1"/>
  <c r="C108" i="1"/>
  <c r="C68" i="1"/>
  <c r="C69" i="1"/>
  <c r="Q17" i="1"/>
  <c r="Q16" i="1"/>
  <c r="Q6" i="1"/>
  <c r="C65" i="1"/>
  <c r="C63" i="1"/>
  <c r="C82" i="1"/>
  <c r="D50" i="1"/>
  <c r="D43" i="1"/>
  <c r="D49" i="1"/>
  <c r="D48" i="1"/>
  <c r="L23" i="1"/>
  <c r="D47" i="1"/>
  <c r="D52" i="1"/>
  <c r="F52" i="1"/>
  <c r="D46" i="1"/>
  <c r="D45" i="1"/>
  <c r="D44" i="1"/>
  <c r="C110" i="1"/>
  <c r="C70" i="1"/>
  <c r="L25" i="1"/>
  <c r="L45" i="1"/>
  <c r="Q7" i="1"/>
  <c r="L51" i="1"/>
  <c r="L53" i="1"/>
  <c r="C112" i="1"/>
  <c r="L48" i="1"/>
  <c r="C111" i="1"/>
  <c r="C113" i="1"/>
  <c r="L43" i="1"/>
  <c r="L61" i="1"/>
  <c r="L59" i="1"/>
  <c r="L60" i="1"/>
  <c r="Q12" i="1"/>
  <c r="Q19" i="1"/>
  <c r="L54" i="1"/>
</calcChain>
</file>

<file path=xl/comments1.xml><?xml version="1.0" encoding="utf-8"?>
<comments xmlns="http://schemas.openxmlformats.org/spreadsheetml/2006/main">
  <authors>
    <author>Janez</author>
  </authors>
  <commentList>
    <comment ref="C114" authorId="0" shapeId="0">
      <text>
        <r>
          <rPr>
            <b/>
            <sz val="9"/>
            <color indexed="81"/>
            <rFont val="Segoe UI"/>
            <family val="2"/>
            <charset val="238"/>
          </rPr>
          <t>Janez:</t>
        </r>
        <r>
          <rPr>
            <sz val="9"/>
            <color indexed="81"/>
            <rFont val="Segoe UI"/>
            <family val="2"/>
            <charset val="238"/>
          </rPr>
          <t xml:space="preserve">
Tu moramo seštet glede na koliko fasade dodamo</t>
        </r>
      </text>
    </comment>
  </commentList>
</comments>
</file>

<file path=xl/sharedStrings.xml><?xml version="1.0" encoding="utf-8"?>
<sst xmlns="http://schemas.openxmlformats.org/spreadsheetml/2006/main" count="296" uniqueCount="169">
  <si>
    <t>ENERGETSKA OBNOVA STAVB</t>
  </si>
  <si>
    <t>Parameter</t>
  </si>
  <si>
    <t>Vrednost</t>
  </si>
  <si>
    <t>Enota</t>
  </si>
  <si>
    <t>Oznaka</t>
  </si>
  <si>
    <t>Kurilna vrednost UNP</t>
  </si>
  <si>
    <t>Kurilna vrednost ZP</t>
  </si>
  <si>
    <t>Kurilna vrednost polen</t>
  </si>
  <si>
    <t>Kurilna brednost pelet</t>
  </si>
  <si>
    <t>H(ZP)</t>
  </si>
  <si>
    <t>H(BM)</t>
  </si>
  <si>
    <t>H(PE)</t>
  </si>
  <si>
    <t>kWh/L</t>
  </si>
  <si>
    <t>H(UNP1)</t>
  </si>
  <si>
    <t>H(UNP2)</t>
  </si>
  <si>
    <t>H(UNP3)</t>
  </si>
  <si>
    <t>kWh/kg</t>
  </si>
  <si>
    <t>kWh/m3</t>
  </si>
  <si>
    <t>kWh/Sm3</t>
  </si>
  <si>
    <t>kWh/prm</t>
  </si>
  <si>
    <t>Kurilna vrednost ELKO</t>
  </si>
  <si>
    <t>H(ELKO)</t>
  </si>
  <si>
    <t>2.1. PODATKI</t>
  </si>
  <si>
    <t>UNP</t>
  </si>
  <si>
    <t>L/a</t>
  </si>
  <si>
    <t>kg/a</t>
  </si>
  <si>
    <t>m3/a</t>
  </si>
  <si>
    <t>Sm3/a</t>
  </si>
  <si>
    <t>prm/a</t>
  </si>
  <si>
    <t>2.1. Poraba energentov</t>
  </si>
  <si>
    <t>EE</t>
  </si>
  <si>
    <t>kWh/a</t>
  </si>
  <si>
    <t>UNP1</t>
  </si>
  <si>
    <t>UNP2</t>
  </si>
  <si>
    <t>UNP3</t>
  </si>
  <si>
    <t>ZP</t>
  </si>
  <si>
    <t>ELKO</t>
  </si>
  <si>
    <t>BM</t>
  </si>
  <si>
    <t>PE</t>
  </si>
  <si>
    <t>2.2. Stroški</t>
  </si>
  <si>
    <t>EUR/a</t>
  </si>
  <si>
    <t>2. ENERGETSKA OBNOVA</t>
  </si>
  <si>
    <t>m2</t>
  </si>
  <si>
    <t>Vrsta podatka</t>
  </si>
  <si>
    <t>Opomba</t>
  </si>
  <si>
    <t>Ploščina steklenih površin</t>
  </si>
  <si>
    <t>Debelina toplotne izolacije fasade</t>
  </si>
  <si>
    <t>cm</t>
  </si>
  <si>
    <t>Bruto ogrevana ploščina</t>
  </si>
  <si>
    <t>Poprečna višina</t>
  </si>
  <si>
    <t>m</t>
  </si>
  <si>
    <t>Ravni strop, tla in stene</t>
  </si>
  <si>
    <t>Ploščina fasade</t>
  </si>
  <si>
    <t>Upoštevamo bruto z okni in vrati</t>
  </si>
  <si>
    <t>Ogrevana prostornina stavbe</t>
  </si>
  <si>
    <t>Oblikovni faktor</t>
  </si>
  <si>
    <t>m3</t>
  </si>
  <si>
    <t>1/m</t>
  </si>
  <si>
    <t>Ploščina toplotnega ovoja stavbe</t>
  </si>
  <si>
    <t>3.1. Faktorji za preračun prihrankov</t>
  </si>
  <si>
    <t>Debelina</t>
  </si>
  <si>
    <t>Delež prihrankov</t>
  </si>
  <si>
    <t>Toplotna izolacija stropa</t>
  </si>
  <si>
    <t>%</t>
  </si>
  <si>
    <t>3.1.2 Okna</t>
  </si>
  <si>
    <t>Termopan dvoslojna okna</t>
  </si>
  <si>
    <t>Termopan troslojna okna</t>
  </si>
  <si>
    <t>Obstoječa okna termopan ali škatlasta okna</t>
  </si>
  <si>
    <t>Vrsta ovoja</t>
  </si>
  <si>
    <t>Izgube</t>
  </si>
  <si>
    <t>Fasada</t>
  </si>
  <si>
    <t>Okna</t>
  </si>
  <si>
    <t>Tla</t>
  </si>
  <si>
    <t>Strop</t>
  </si>
  <si>
    <t>SKUPAJ</t>
  </si>
  <si>
    <r>
      <t>kWh/(m2</t>
    </r>
    <r>
      <rPr>
        <sz val="11"/>
        <color theme="1"/>
        <rFont val="Calibri"/>
        <family val="2"/>
        <charset val="238"/>
      </rPr>
      <t>·a)</t>
    </r>
  </si>
  <si>
    <t>3.1.1 Izgube toplote skozi ovoj stavbe</t>
  </si>
  <si>
    <t>Debelina fasade</t>
  </si>
  <si>
    <t>Toplotna izolacija</t>
  </si>
  <si>
    <t>4. Izračun prihrankov energije</t>
  </si>
  <si>
    <t>ZAMENJAVA KURILNE NAPRAVE</t>
  </si>
  <si>
    <t>1. ENERGETSKI PARAMETRI POTREBNI ZA IZRAČUN</t>
  </si>
  <si>
    <t>Izkoristek</t>
  </si>
  <si>
    <t>Stari kotel na polena</t>
  </si>
  <si>
    <t>Kotel na ELKO</t>
  </si>
  <si>
    <t>Kotel na UNP ali ZP</t>
  </si>
  <si>
    <t>Kondenzacijski kotel na ZP ali UNP</t>
  </si>
  <si>
    <t>Kotel na pelete</t>
  </si>
  <si>
    <t>Vrsta kurilne naprave</t>
  </si>
  <si>
    <t>1.1. Obstoječe kurilne naprave</t>
  </si>
  <si>
    <t>1.2. Podatki o novih  kurilnih napravah</t>
  </si>
  <si>
    <t>1.3. Izračun koristne toplote</t>
  </si>
  <si>
    <t>Obstoječi energent</t>
  </si>
  <si>
    <t>Polena</t>
  </si>
  <si>
    <t>Peleti</t>
  </si>
  <si>
    <t>Električna energija</t>
  </si>
  <si>
    <t>Toplotna izolacija 5 cm</t>
  </si>
  <si>
    <t>Toplotna izolacija 10 cm</t>
  </si>
  <si>
    <t>Toplotna izolacija 16 cm</t>
  </si>
  <si>
    <t xml:space="preserve">Podstrešje </t>
  </si>
  <si>
    <t>Skupaj prihranki</t>
  </si>
  <si>
    <t>Prihranki</t>
  </si>
  <si>
    <t>Poraba primarne toplote</t>
  </si>
  <si>
    <t>Skupaj potrebna koristna toplota</t>
  </si>
  <si>
    <t>Poraba koristne toplote</t>
  </si>
  <si>
    <t>2. ZAMENJAVA KURILNE NAPRAVE</t>
  </si>
  <si>
    <t>3.1.2. Dodana toplotna izolacija v cm</t>
  </si>
  <si>
    <t>Zamenjava oken</t>
  </si>
  <si>
    <t>Izolacija podstrešja</t>
  </si>
  <si>
    <t>Debelina fasade 16 cm</t>
  </si>
  <si>
    <t>2.1. Toplotna črpalka</t>
  </si>
  <si>
    <t>Vrrsta toplotne črpalke</t>
  </si>
  <si>
    <t>COP</t>
  </si>
  <si>
    <t>TĆ Zrak/voda</t>
  </si>
  <si>
    <t>TČ Voda/voda</t>
  </si>
  <si>
    <t>TČ Voda/zemeljski kolektor</t>
  </si>
  <si>
    <t>TČ Voda/geosonda</t>
  </si>
  <si>
    <t>TČ Zrak/zrak</t>
  </si>
  <si>
    <t>2.1.1. COP toplotnih črrpalk</t>
  </si>
  <si>
    <t>TČVV</t>
  </si>
  <si>
    <t>TČZV</t>
  </si>
  <si>
    <t>TČVZK</t>
  </si>
  <si>
    <t>TČVG</t>
  </si>
  <si>
    <t>TČZZ</t>
  </si>
  <si>
    <t>Izberemo TČ</t>
  </si>
  <si>
    <t>3.3. Izračun porabe primarne toplote</t>
  </si>
  <si>
    <t>kW</t>
  </si>
  <si>
    <t>Izračun toplotne moči TČ</t>
  </si>
  <si>
    <t>Izračun električne moči TČ</t>
  </si>
  <si>
    <t>Izračun porabe el. energije</t>
  </si>
  <si>
    <t>2.1.2 Izračun prostornine zalogovnika toplote</t>
  </si>
  <si>
    <t>Prostornina zalogovnika toplote</t>
  </si>
  <si>
    <t>L</t>
  </si>
  <si>
    <t>2.2. Kotel na pelete</t>
  </si>
  <si>
    <t>2.3.1 Izračun moči kotla</t>
  </si>
  <si>
    <t>2.3.4 Izračun prostonine zal. toplote</t>
  </si>
  <si>
    <t>2.3. Kotel na polena</t>
  </si>
  <si>
    <t>2.2.1 Izračun moči kotla</t>
  </si>
  <si>
    <t>2.2.3 Izračun porabe pelet</t>
  </si>
  <si>
    <t>2.2.4 Izračun prostonine zal. toplote</t>
  </si>
  <si>
    <t>Toplotna črpalka</t>
  </si>
  <si>
    <t>Kotel na polena</t>
  </si>
  <si>
    <t>2.3.3 Izračun porabe polen</t>
  </si>
  <si>
    <t>prm</t>
  </si>
  <si>
    <t>SAMOOSKRBA Z ELEKRIČNO ENERGIJO</t>
  </si>
  <si>
    <t>1. Potrebni parametri za izračun</t>
  </si>
  <si>
    <t>Letna poraba električne energije</t>
  </si>
  <si>
    <t>2. Izračun parametrov sončne elektrarne</t>
  </si>
  <si>
    <t>2.1. Moč sončne elektrarne</t>
  </si>
  <si>
    <t>2.2 Število modulov</t>
  </si>
  <si>
    <t>2.3. Potredbna ploščina strehe</t>
  </si>
  <si>
    <t>Vrednost v cm</t>
  </si>
  <si>
    <t>2.2.2 Izračun porabe pr. topl. energije</t>
  </si>
  <si>
    <t>2.2.4 Izračun prostonine zal. Pelet</t>
  </si>
  <si>
    <t>2.3.2 Izračun porabe primarne toplote</t>
  </si>
  <si>
    <t>Priključna el.  moč objekta</t>
  </si>
  <si>
    <t>Zakonodajne zahteve</t>
  </si>
  <si>
    <t>2.4. Dovoljena priključna moč</t>
  </si>
  <si>
    <t>2.5. Število modulov</t>
  </si>
  <si>
    <t>2.6. Potrebna ploščina strehe</t>
  </si>
  <si>
    <t>2.7. Proizvedena el. energija</t>
  </si>
  <si>
    <t>2.8. Dokup ali oddaja v omrežje</t>
  </si>
  <si>
    <t>2. PODATKI O PORABI ENERGIJE IN STROŠKI</t>
  </si>
  <si>
    <r>
      <t xml:space="preserve">      U (W/(m2</t>
    </r>
    <r>
      <rPr>
        <sz val="11"/>
        <color theme="1"/>
        <rFont val="Calibri"/>
        <family val="2"/>
        <charset val="238"/>
      </rPr>
      <t>·K))</t>
    </r>
  </si>
  <si>
    <t>Vrsta okna</t>
  </si>
  <si>
    <t>Možni ukrepi</t>
  </si>
  <si>
    <t>Trislojna okna</t>
  </si>
  <si>
    <t>Končna deb. toplotne izolacije fasade</t>
  </si>
  <si>
    <t>Energijsko število stavbe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</si>
</sst>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" fontId="0" fillId="0" borderId="0" xfId="0" applyNumberForma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4" fontId="0" fillId="0" borderId="0" xfId="0" applyNumberFormat="1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0" fillId="0" borderId="10" xfId="0" applyFill="1" applyBorder="1"/>
    <xf numFmtId="0" fontId="0" fillId="0" borderId="0" xfId="0" applyFill="1" applyBorder="1"/>
    <xf numFmtId="0" fontId="0" fillId="0" borderId="9" xfId="0" applyFill="1" applyBorder="1"/>
    <xf numFmtId="0" fontId="0" fillId="0" borderId="11" xfId="0" applyFill="1" applyBorder="1"/>
    <xf numFmtId="3" fontId="0" fillId="2" borderId="10" xfId="0" applyNumberFormat="1" applyFill="1" applyBorder="1"/>
    <xf numFmtId="3" fontId="0" fillId="2" borderId="11" xfId="0" applyNumberFormat="1" applyFill="1" applyBorder="1"/>
    <xf numFmtId="0" fontId="0" fillId="2" borderId="0" xfId="0" applyFill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/>
    <xf numFmtId="2" fontId="0" fillId="0" borderId="0" xfId="0" applyNumberFormat="1"/>
    <xf numFmtId="49" fontId="0" fillId="0" borderId="4" xfId="0" applyNumberFormat="1" applyBorder="1" applyAlignment="1">
      <alignment wrapText="1"/>
    </xf>
    <xf numFmtId="0" fontId="0" fillId="0" borderId="12" xfId="0" applyBorder="1"/>
    <xf numFmtId="0" fontId="0" fillId="0" borderId="0" xfId="0" applyAlignment="1"/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2" borderId="0" xfId="0" applyFill="1" applyAlignment="1">
      <alignment wrapText="1"/>
    </xf>
    <xf numFmtId="2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0" fillId="0" borderId="2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Alignment="1">
      <alignment wrapText="1"/>
    </xf>
    <xf numFmtId="4" fontId="0" fillId="3" borderId="12" xfId="0" applyNumberFormat="1" applyFill="1" applyBorder="1"/>
    <xf numFmtId="4" fontId="0" fillId="3" borderId="10" xfId="0" applyNumberFormat="1" applyFill="1" applyBorder="1"/>
    <xf numFmtId="4" fontId="0" fillId="3" borderId="11" xfId="0" applyNumberFormat="1" applyFill="1" applyBorder="1"/>
    <xf numFmtId="4" fontId="0" fillId="0" borderId="0" xfId="0" applyNumberFormat="1" applyFill="1" applyBorder="1"/>
    <xf numFmtId="4" fontId="1" fillId="0" borderId="2" xfId="0" applyNumberFormat="1" applyFont="1" applyFill="1" applyBorder="1"/>
    <xf numFmtId="3" fontId="0" fillId="0" borderId="0" xfId="0" applyNumberFormat="1" applyFill="1" applyBorder="1"/>
    <xf numFmtId="0" fontId="2" fillId="0" borderId="0" xfId="0" applyFont="1"/>
    <xf numFmtId="0" fontId="2" fillId="0" borderId="0" xfId="0" applyFont="1" applyAlignment="1"/>
    <xf numFmtId="0" fontId="6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R114"/>
  <sheetViews>
    <sheetView tabSelected="1" topLeftCell="E1" zoomScale="150" zoomScaleNormal="150" workbookViewId="0">
      <selection activeCell="R3" sqref="R3"/>
    </sheetView>
  </sheetViews>
  <sheetFormatPr defaultRowHeight="15" x14ac:dyDescent="0.25"/>
  <cols>
    <col min="2" max="2" width="32.7109375" style="23" customWidth="1"/>
    <col min="3" max="3" width="14" customWidth="1"/>
    <col min="4" max="4" width="11.7109375" bestFit="1" customWidth="1"/>
    <col min="5" max="5" width="9.140625" customWidth="1"/>
    <col min="11" max="11" width="33.5703125" customWidth="1"/>
    <col min="12" max="12" width="12" style="23" customWidth="1"/>
    <col min="16" max="16" width="29.28515625" customWidth="1"/>
  </cols>
  <sheetData>
    <row r="3" spans="2:18" x14ac:dyDescent="0.25">
      <c r="B3" s="23" t="s">
        <v>0</v>
      </c>
      <c r="K3" s="54" t="s">
        <v>80</v>
      </c>
      <c r="P3" t="s">
        <v>144</v>
      </c>
    </row>
    <row r="5" spans="2:18" x14ac:dyDescent="0.25">
      <c r="B5" s="35" t="s">
        <v>81</v>
      </c>
      <c r="K5" s="55" t="s">
        <v>81</v>
      </c>
      <c r="P5" s="54" t="s">
        <v>145</v>
      </c>
    </row>
    <row r="6" spans="2:18" x14ac:dyDescent="0.25">
      <c r="P6" t="s">
        <v>155</v>
      </c>
      <c r="Q6">
        <f>3*16*220/1000</f>
        <v>10.56</v>
      </c>
      <c r="R6" t="s">
        <v>126</v>
      </c>
    </row>
    <row r="7" spans="2:18" x14ac:dyDescent="0.25">
      <c r="B7" s="24" t="s">
        <v>1</v>
      </c>
      <c r="C7" s="12" t="s">
        <v>4</v>
      </c>
      <c r="D7" s="4" t="s">
        <v>2</v>
      </c>
      <c r="E7" s="5" t="s">
        <v>3</v>
      </c>
      <c r="K7" s="54" t="s">
        <v>89</v>
      </c>
      <c r="P7" t="s">
        <v>146</v>
      </c>
      <c r="Q7" s="1">
        <f>D26+L45</f>
        <v>12054.285714285716</v>
      </c>
      <c r="R7" t="s">
        <v>31</v>
      </c>
    </row>
    <row r="8" spans="2:18" x14ac:dyDescent="0.25">
      <c r="B8" s="25" t="s">
        <v>5</v>
      </c>
      <c r="C8" s="13" t="s">
        <v>13</v>
      </c>
      <c r="D8" s="7">
        <v>6.95</v>
      </c>
      <c r="E8" s="8" t="s">
        <v>12</v>
      </c>
      <c r="K8" s="3" t="s">
        <v>88</v>
      </c>
      <c r="L8" s="36" t="s">
        <v>82</v>
      </c>
    </row>
    <row r="9" spans="2:18" ht="30" x14ac:dyDescent="0.25">
      <c r="B9" s="25"/>
      <c r="C9" s="13" t="s">
        <v>14</v>
      </c>
      <c r="D9" s="7">
        <v>12.87</v>
      </c>
      <c r="E9" s="8" t="s">
        <v>16</v>
      </c>
      <c r="K9" s="6" t="s">
        <v>83</v>
      </c>
      <c r="L9" s="37">
        <v>0.7</v>
      </c>
      <c r="P9" s="45" t="s">
        <v>147</v>
      </c>
    </row>
    <row r="10" spans="2:18" x14ac:dyDescent="0.25">
      <c r="B10" s="25"/>
      <c r="C10" s="13" t="s">
        <v>15</v>
      </c>
      <c r="D10" s="7">
        <v>25.4</v>
      </c>
      <c r="E10" s="8" t="s">
        <v>17</v>
      </c>
      <c r="K10" s="6" t="s">
        <v>84</v>
      </c>
      <c r="L10" s="37">
        <v>0.8</v>
      </c>
      <c r="P10" t="s">
        <v>148</v>
      </c>
      <c r="Q10">
        <f>Q7/1100</f>
        <v>10.95844155844156</v>
      </c>
      <c r="R10" t="s">
        <v>126</v>
      </c>
    </row>
    <row r="11" spans="2:18" x14ac:dyDescent="0.25">
      <c r="B11" s="25" t="s">
        <v>6</v>
      </c>
      <c r="C11" s="13" t="s">
        <v>9</v>
      </c>
      <c r="D11" s="7">
        <v>9.5</v>
      </c>
      <c r="E11" s="8" t="s">
        <v>18</v>
      </c>
      <c r="K11" s="10" t="s">
        <v>85</v>
      </c>
      <c r="L11" s="38">
        <v>0.85</v>
      </c>
      <c r="P11" t="s">
        <v>149</v>
      </c>
      <c r="Q11">
        <f>Q10/0.3</f>
        <v>36.528138528138534</v>
      </c>
    </row>
    <row r="12" spans="2:18" x14ac:dyDescent="0.25">
      <c r="B12" s="25" t="s">
        <v>20</v>
      </c>
      <c r="C12" s="13" t="s">
        <v>21</v>
      </c>
      <c r="D12" s="7">
        <v>9.98</v>
      </c>
      <c r="E12" s="8" t="s">
        <v>12</v>
      </c>
      <c r="P12" t="s">
        <v>150</v>
      </c>
      <c r="Q12">
        <f>Q11*1.65/0.8</f>
        <v>75.339285714285722</v>
      </c>
      <c r="R12" t="s">
        <v>42</v>
      </c>
    </row>
    <row r="13" spans="2:18" x14ac:dyDescent="0.25">
      <c r="B13" s="25" t="s">
        <v>7</v>
      </c>
      <c r="C13" s="13" t="s">
        <v>10</v>
      </c>
      <c r="D13" s="9">
        <v>1884</v>
      </c>
      <c r="E13" s="8" t="s">
        <v>19</v>
      </c>
      <c r="K13" s="54" t="s">
        <v>90</v>
      </c>
    </row>
    <row r="14" spans="2:18" x14ac:dyDescent="0.25">
      <c r="B14" s="26" t="s">
        <v>8</v>
      </c>
      <c r="C14" s="14" t="s">
        <v>11</v>
      </c>
      <c r="D14" s="2">
        <v>4.7</v>
      </c>
      <c r="E14" s="11" t="s">
        <v>16</v>
      </c>
      <c r="K14" s="12" t="s">
        <v>88</v>
      </c>
      <c r="L14" s="36" t="s">
        <v>82</v>
      </c>
      <c r="P14" t="s">
        <v>156</v>
      </c>
    </row>
    <row r="15" spans="2:18" x14ac:dyDescent="0.25">
      <c r="K15" s="37" t="s">
        <v>86</v>
      </c>
      <c r="L15" s="37">
        <v>0.98</v>
      </c>
      <c r="P15" t="s">
        <v>157</v>
      </c>
      <c r="Q15">
        <f>0.8*Q6</f>
        <v>8.4480000000000004</v>
      </c>
    </row>
    <row r="16" spans="2:18" ht="30" x14ac:dyDescent="0.25">
      <c r="B16" s="45" t="s">
        <v>162</v>
      </c>
      <c r="K16" s="13" t="s">
        <v>87</v>
      </c>
      <c r="L16" s="37">
        <v>0.95</v>
      </c>
      <c r="P16" t="s">
        <v>158</v>
      </c>
      <c r="Q16">
        <f>Q15/0.3</f>
        <v>28.160000000000004</v>
      </c>
    </row>
    <row r="17" spans="2:18" x14ac:dyDescent="0.25">
      <c r="B17" s="45" t="s">
        <v>29</v>
      </c>
      <c r="K17" s="15" t="s">
        <v>141</v>
      </c>
      <c r="L17" s="37">
        <v>0.9</v>
      </c>
      <c r="P17" t="s">
        <v>159</v>
      </c>
      <c r="Q17">
        <f>Q16*1.65/0.8</f>
        <v>58.080000000000005</v>
      </c>
    </row>
    <row r="18" spans="2:18" x14ac:dyDescent="0.25">
      <c r="B18" s="24" t="s">
        <v>1</v>
      </c>
      <c r="C18" s="12" t="s">
        <v>4</v>
      </c>
      <c r="D18" s="12" t="s">
        <v>2</v>
      </c>
      <c r="E18" s="5" t="s">
        <v>3</v>
      </c>
      <c r="K18" s="14" t="s">
        <v>140</v>
      </c>
      <c r="L18" s="38">
        <v>1</v>
      </c>
      <c r="P18" t="s">
        <v>160</v>
      </c>
      <c r="Q18" s="1">
        <f>Q15*1100</f>
        <v>9292.8000000000011</v>
      </c>
      <c r="R18" t="s">
        <v>31</v>
      </c>
    </row>
    <row r="19" spans="2:18" x14ac:dyDescent="0.25">
      <c r="B19" s="25" t="s">
        <v>23</v>
      </c>
      <c r="C19" s="13" t="s">
        <v>32</v>
      </c>
      <c r="D19" s="19"/>
      <c r="E19" s="8" t="s">
        <v>24</v>
      </c>
      <c r="P19" t="s">
        <v>161</v>
      </c>
      <c r="Q19" s="1">
        <f>Q7-Q18</f>
        <v>2761.4857142857145</v>
      </c>
      <c r="R19" t="s">
        <v>31</v>
      </c>
    </row>
    <row r="20" spans="2:18" x14ac:dyDescent="0.25">
      <c r="B20" s="25"/>
      <c r="C20" s="13" t="s">
        <v>33</v>
      </c>
      <c r="D20" s="19"/>
      <c r="E20" s="8" t="s">
        <v>25</v>
      </c>
      <c r="K20" s="54" t="s">
        <v>91</v>
      </c>
    </row>
    <row r="21" spans="2:18" x14ac:dyDescent="0.25">
      <c r="B21" s="25"/>
      <c r="C21" s="13" t="s">
        <v>34</v>
      </c>
      <c r="D21" s="19"/>
      <c r="E21" s="8" t="s">
        <v>26</v>
      </c>
      <c r="K21" t="s">
        <v>92</v>
      </c>
      <c r="L21" s="39" t="s">
        <v>36</v>
      </c>
    </row>
    <row r="22" spans="2:18" x14ac:dyDescent="0.25">
      <c r="B22" s="25" t="s">
        <v>35</v>
      </c>
      <c r="C22" s="13" t="s">
        <v>35</v>
      </c>
      <c r="D22" s="19"/>
      <c r="E22" s="8" t="s">
        <v>27</v>
      </c>
      <c r="K22" s="3" t="s">
        <v>88</v>
      </c>
      <c r="L22" s="42" t="s">
        <v>2</v>
      </c>
      <c r="M22" s="5" t="s">
        <v>3</v>
      </c>
    </row>
    <row r="23" spans="2:18" x14ac:dyDescent="0.25">
      <c r="B23" s="25" t="s">
        <v>36</v>
      </c>
      <c r="C23" s="13" t="s">
        <v>36</v>
      </c>
      <c r="D23" s="19">
        <v>3000</v>
      </c>
      <c r="E23" s="8" t="s">
        <v>24</v>
      </c>
      <c r="K23" s="6" t="s">
        <v>83</v>
      </c>
      <c r="L23" s="43">
        <f>D48*L9</f>
        <v>0</v>
      </c>
      <c r="M23" s="8" t="s">
        <v>31</v>
      </c>
    </row>
    <row r="24" spans="2:18" x14ac:dyDescent="0.25">
      <c r="B24" s="25" t="s">
        <v>93</v>
      </c>
      <c r="C24" s="13" t="s">
        <v>37</v>
      </c>
      <c r="D24" s="19"/>
      <c r="E24" s="8" t="s">
        <v>28</v>
      </c>
      <c r="K24" s="6" t="s">
        <v>84</v>
      </c>
      <c r="L24" s="43">
        <f>D47*L10</f>
        <v>23952</v>
      </c>
      <c r="M24" s="8" t="s">
        <v>31</v>
      </c>
    </row>
    <row r="25" spans="2:18" x14ac:dyDescent="0.25">
      <c r="B25" s="25" t="s">
        <v>94</v>
      </c>
      <c r="C25" s="13" t="s">
        <v>38</v>
      </c>
      <c r="D25" s="19"/>
      <c r="E25" s="8" t="s">
        <v>25</v>
      </c>
      <c r="K25" s="10" t="s">
        <v>85</v>
      </c>
      <c r="L25" s="44">
        <f>D43*L11</f>
        <v>0</v>
      </c>
      <c r="M25" s="11" t="s">
        <v>31</v>
      </c>
    </row>
    <row r="26" spans="2:18" x14ac:dyDescent="0.25">
      <c r="B26" s="27" t="s">
        <v>95</v>
      </c>
      <c r="C26" s="18" t="s">
        <v>30</v>
      </c>
      <c r="D26" s="20">
        <v>3500</v>
      </c>
      <c r="E26" s="17" t="s">
        <v>31</v>
      </c>
    </row>
    <row r="27" spans="2:18" x14ac:dyDescent="0.25">
      <c r="B27" s="29"/>
      <c r="C27" s="16"/>
      <c r="D27" s="53"/>
      <c r="E27" s="16"/>
      <c r="K27" t="s">
        <v>104</v>
      </c>
      <c r="L27" s="41">
        <f>L24</f>
        <v>23952</v>
      </c>
      <c r="M27" t="s">
        <v>31</v>
      </c>
    </row>
    <row r="28" spans="2:18" x14ac:dyDescent="0.25">
      <c r="B28" s="28"/>
      <c r="C28" s="7"/>
      <c r="D28" s="7"/>
      <c r="E28" s="7"/>
      <c r="L28" s="41"/>
    </row>
    <row r="29" spans="2:18" x14ac:dyDescent="0.25">
      <c r="B29" s="46" t="s">
        <v>39</v>
      </c>
    </row>
    <row r="30" spans="2:18" x14ac:dyDescent="0.25">
      <c r="B30" s="24" t="s">
        <v>1</v>
      </c>
      <c r="C30" s="12" t="s">
        <v>4</v>
      </c>
      <c r="D30" s="12" t="s">
        <v>2</v>
      </c>
      <c r="E30" s="12" t="s">
        <v>3</v>
      </c>
      <c r="K30" s="54" t="s">
        <v>105</v>
      </c>
    </row>
    <row r="31" spans="2:18" x14ac:dyDescent="0.25">
      <c r="B31" s="25" t="s">
        <v>23</v>
      </c>
      <c r="C31" s="13" t="s">
        <v>32</v>
      </c>
      <c r="D31" s="19"/>
      <c r="E31" s="13" t="s">
        <v>40</v>
      </c>
    </row>
    <row r="32" spans="2:18" x14ac:dyDescent="0.25">
      <c r="B32" s="25"/>
      <c r="C32" s="13" t="s">
        <v>33</v>
      </c>
      <c r="D32" s="19"/>
      <c r="E32" s="13" t="s">
        <v>40</v>
      </c>
      <c r="K32" s="54" t="s">
        <v>110</v>
      </c>
    </row>
    <row r="33" spans="2:13" x14ac:dyDescent="0.25">
      <c r="B33" s="25"/>
      <c r="C33" s="13" t="s">
        <v>34</v>
      </c>
      <c r="D33" s="19"/>
      <c r="E33" s="13" t="s">
        <v>40</v>
      </c>
      <c r="K33" s="54" t="s">
        <v>118</v>
      </c>
    </row>
    <row r="34" spans="2:13" x14ac:dyDescent="0.25">
      <c r="B34" s="25" t="s">
        <v>35</v>
      </c>
      <c r="C34" s="13" t="s">
        <v>35</v>
      </c>
      <c r="D34" s="19"/>
      <c r="E34" s="13" t="s">
        <v>40</v>
      </c>
      <c r="K34" s="3" t="s">
        <v>111</v>
      </c>
      <c r="L34" s="36" t="s">
        <v>4</v>
      </c>
      <c r="M34" s="36" t="s">
        <v>112</v>
      </c>
    </row>
    <row r="35" spans="2:13" x14ac:dyDescent="0.25">
      <c r="B35" s="25" t="s">
        <v>36</v>
      </c>
      <c r="C35" s="13" t="s">
        <v>36</v>
      </c>
      <c r="D35" s="19">
        <v>2500</v>
      </c>
      <c r="E35" s="13" t="s">
        <v>40</v>
      </c>
      <c r="K35" s="6" t="s">
        <v>113</v>
      </c>
      <c r="L35" s="37" t="s">
        <v>120</v>
      </c>
      <c r="M35" s="56">
        <v>2.8</v>
      </c>
    </row>
    <row r="36" spans="2:13" x14ac:dyDescent="0.25">
      <c r="B36" s="25" t="s">
        <v>93</v>
      </c>
      <c r="C36" s="13" t="s">
        <v>37</v>
      </c>
      <c r="D36" s="19"/>
      <c r="E36" s="13" t="s">
        <v>40</v>
      </c>
      <c r="K36" s="6" t="s">
        <v>114</v>
      </c>
      <c r="L36" s="37" t="s">
        <v>119</v>
      </c>
      <c r="M36" s="56">
        <v>4</v>
      </c>
    </row>
    <row r="37" spans="2:13" x14ac:dyDescent="0.25">
      <c r="B37" s="25" t="s">
        <v>94</v>
      </c>
      <c r="C37" s="13" t="s">
        <v>38</v>
      </c>
      <c r="D37" s="19"/>
      <c r="E37" s="13" t="s">
        <v>40</v>
      </c>
      <c r="K37" s="6" t="s">
        <v>115</v>
      </c>
      <c r="L37" s="37" t="s">
        <v>121</v>
      </c>
      <c r="M37" s="56">
        <v>3.5</v>
      </c>
    </row>
    <row r="38" spans="2:13" x14ac:dyDescent="0.25">
      <c r="B38" s="27" t="s">
        <v>95</v>
      </c>
      <c r="C38" s="18" t="s">
        <v>30</v>
      </c>
      <c r="D38" s="20"/>
      <c r="E38" s="14" t="s">
        <v>40</v>
      </c>
      <c r="K38" s="6" t="s">
        <v>116</v>
      </c>
      <c r="L38" s="37" t="s">
        <v>122</v>
      </c>
      <c r="M38" s="56">
        <v>3.5</v>
      </c>
    </row>
    <row r="39" spans="2:13" ht="15.75" thickBot="1" x14ac:dyDescent="0.3">
      <c r="K39" s="10" t="s">
        <v>117</v>
      </c>
      <c r="L39" s="38" t="s">
        <v>123</v>
      </c>
      <c r="M39" s="57">
        <v>2.8</v>
      </c>
    </row>
    <row r="40" spans="2:13" ht="30" x14ac:dyDescent="0.25">
      <c r="B40" s="45" t="s">
        <v>125</v>
      </c>
    </row>
    <row r="41" spans="2:13" x14ac:dyDescent="0.25">
      <c r="K41" t="s">
        <v>124</v>
      </c>
      <c r="L41" s="39" t="s">
        <v>120</v>
      </c>
    </row>
    <row r="42" spans="2:13" x14ac:dyDescent="0.25">
      <c r="B42" s="24" t="s">
        <v>1</v>
      </c>
      <c r="C42" s="12" t="s">
        <v>4</v>
      </c>
      <c r="D42" s="12" t="s">
        <v>2</v>
      </c>
      <c r="E42" s="5" t="s">
        <v>3</v>
      </c>
      <c r="K42" t="s">
        <v>127</v>
      </c>
      <c r="L42" s="40">
        <f>L27/(1500)</f>
        <v>15.968</v>
      </c>
      <c r="M42" t="s">
        <v>126</v>
      </c>
    </row>
    <row r="43" spans="2:13" x14ac:dyDescent="0.25">
      <c r="B43" s="25" t="s">
        <v>23</v>
      </c>
      <c r="C43" s="13" t="s">
        <v>32</v>
      </c>
      <c r="D43" s="48">
        <f t="shared" ref="D43:D49" si="0">D8*D19</f>
        <v>0</v>
      </c>
      <c r="E43" s="8" t="s">
        <v>31</v>
      </c>
      <c r="K43" t="s">
        <v>128</v>
      </c>
      <c r="L43" s="40">
        <f>L42/M35</f>
        <v>5.7028571428571428</v>
      </c>
      <c r="M43" t="s">
        <v>126</v>
      </c>
    </row>
    <row r="44" spans="2:13" x14ac:dyDescent="0.25">
      <c r="B44" s="25"/>
      <c r="C44" s="13" t="s">
        <v>33</v>
      </c>
      <c r="D44" s="49">
        <f t="shared" si="0"/>
        <v>0</v>
      </c>
      <c r="E44" s="8" t="s">
        <v>31</v>
      </c>
    </row>
    <row r="45" spans="2:13" x14ac:dyDescent="0.25">
      <c r="B45" s="25"/>
      <c r="C45" s="13" t="s">
        <v>34</v>
      </c>
      <c r="D45" s="49">
        <f t="shared" si="0"/>
        <v>0</v>
      </c>
      <c r="E45" s="8" t="s">
        <v>31</v>
      </c>
      <c r="K45" t="s">
        <v>129</v>
      </c>
      <c r="L45" s="41">
        <f>L27/M35</f>
        <v>8554.2857142857156</v>
      </c>
      <c r="M45" t="s">
        <v>31</v>
      </c>
    </row>
    <row r="46" spans="2:13" x14ac:dyDescent="0.25">
      <c r="B46" s="25" t="s">
        <v>35</v>
      </c>
      <c r="C46" s="13" t="s">
        <v>35</v>
      </c>
      <c r="D46" s="49">
        <f t="shared" si="0"/>
        <v>0</v>
      </c>
      <c r="E46" s="8" t="s">
        <v>31</v>
      </c>
    </row>
    <row r="47" spans="2:13" x14ac:dyDescent="0.25">
      <c r="B47" s="25" t="s">
        <v>36</v>
      </c>
      <c r="C47" s="13" t="s">
        <v>36</v>
      </c>
      <c r="D47" s="49">
        <f t="shared" si="0"/>
        <v>29940</v>
      </c>
      <c r="E47" s="8" t="s">
        <v>31</v>
      </c>
      <c r="K47" s="54" t="s">
        <v>130</v>
      </c>
    </row>
    <row r="48" spans="2:13" x14ac:dyDescent="0.25">
      <c r="B48" s="25" t="s">
        <v>93</v>
      </c>
      <c r="C48" s="13" t="s">
        <v>37</v>
      </c>
      <c r="D48" s="49">
        <f t="shared" si="0"/>
        <v>0</v>
      </c>
      <c r="E48" s="8" t="s">
        <v>31</v>
      </c>
      <c r="K48" t="s">
        <v>131</v>
      </c>
      <c r="L48" s="23">
        <f>L42*50</f>
        <v>798.4</v>
      </c>
      <c r="M48" t="s">
        <v>132</v>
      </c>
    </row>
    <row r="49" spans="2:14" x14ac:dyDescent="0.25">
      <c r="B49" s="25" t="s">
        <v>94</v>
      </c>
      <c r="C49" s="13" t="s">
        <v>38</v>
      </c>
      <c r="D49" s="49">
        <f t="shared" si="0"/>
        <v>0</v>
      </c>
      <c r="E49" s="8" t="s">
        <v>31</v>
      </c>
    </row>
    <row r="50" spans="2:14" x14ac:dyDescent="0.25">
      <c r="B50" s="27" t="s">
        <v>95</v>
      </c>
      <c r="C50" s="18" t="s">
        <v>30</v>
      </c>
      <c r="D50" s="50">
        <f>D26</f>
        <v>3500</v>
      </c>
      <c r="E50" s="17" t="s">
        <v>31</v>
      </c>
      <c r="K50" s="54" t="s">
        <v>133</v>
      </c>
    </row>
    <row r="51" spans="2:14" x14ac:dyDescent="0.25">
      <c r="B51" s="29"/>
      <c r="C51" s="16"/>
      <c r="D51" s="51"/>
      <c r="E51" s="16"/>
      <c r="K51" t="s">
        <v>137</v>
      </c>
      <c r="L51" s="41">
        <f>L27/(1500*L16)</f>
        <v>16.80842105263158</v>
      </c>
      <c r="M51" t="s">
        <v>126</v>
      </c>
    </row>
    <row r="52" spans="2:14" x14ac:dyDescent="0.25">
      <c r="B52" s="29" t="s">
        <v>102</v>
      </c>
      <c r="C52" s="16"/>
      <c r="D52" s="52">
        <f>D47</f>
        <v>29940</v>
      </c>
      <c r="E52" s="16"/>
      <c r="F52">
        <f>D52/1500</f>
        <v>19.96</v>
      </c>
      <c r="G52" t="s">
        <v>126</v>
      </c>
      <c r="K52" t="s">
        <v>152</v>
      </c>
      <c r="L52" s="41">
        <f>L51*1500</f>
        <v>25212.63157894737</v>
      </c>
      <c r="M52" t="s">
        <v>31</v>
      </c>
      <c r="N52">
        <f>L27/L16</f>
        <v>25212.63157894737</v>
      </c>
    </row>
    <row r="53" spans="2:14" x14ac:dyDescent="0.25">
      <c r="B53" s="29" t="s">
        <v>104</v>
      </c>
      <c r="C53" s="16"/>
      <c r="D53" s="51"/>
      <c r="E53" s="16"/>
      <c r="K53" t="s">
        <v>138</v>
      </c>
      <c r="L53" s="41">
        <f>L52/D14</f>
        <v>5364.3896976483766</v>
      </c>
      <c r="M53" t="s">
        <v>25</v>
      </c>
    </row>
    <row r="54" spans="2:14" x14ac:dyDescent="0.25">
      <c r="K54" t="s">
        <v>139</v>
      </c>
      <c r="L54" s="41">
        <f>L51*50</f>
        <v>840.42105263157896</v>
      </c>
      <c r="M54" t="s">
        <v>132</v>
      </c>
    </row>
    <row r="55" spans="2:14" x14ac:dyDescent="0.25">
      <c r="K55" t="s">
        <v>153</v>
      </c>
      <c r="L55" s="41">
        <f>L53/242*30/0.65/1000</f>
        <v>1.0230876727873572</v>
      </c>
      <c r="M55" t="s">
        <v>56</v>
      </c>
    </row>
    <row r="57" spans="2:14" x14ac:dyDescent="0.25">
      <c r="B57" s="45" t="s">
        <v>41</v>
      </c>
      <c r="K57" s="54" t="s">
        <v>136</v>
      </c>
    </row>
    <row r="58" spans="2:14" x14ac:dyDescent="0.25">
      <c r="K58" t="s">
        <v>134</v>
      </c>
      <c r="L58" s="41">
        <f>L27/(1500*L17)</f>
        <v>17.742222222222221</v>
      </c>
      <c r="M58" t="s">
        <v>126</v>
      </c>
    </row>
    <row r="59" spans="2:14" x14ac:dyDescent="0.25">
      <c r="B59" s="45" t="s">
        <v>22</v>
      </c>
      <c r="K59" t="s">
        <v>154</v>
      </c>
      <c r="L59" s="41">
        <f>L58*1500</f>
        <v>26613.333333333332</v>
      </c>
      <c r="M59" t="s">
        <v>31</v>
      </c>
    </row>
    <row r="60" spans="2:14" x14ac:dyDescent="0.25">
      <c r="B60" s="23" t="s">
        <v>43</v>
      </c>
      <c r="C60" t="s">
        <v>2</v>
      </c>
      <c r="D60" t="s">
        <v>3</v>
      </c>
      <c r="E60" t="s">
        <v>44</v>
      </c>
      <c r="K60" t="s">
        <v>142</v>
      </c>
      <c r="L60" s="41">
        <f>L59/D13</f>
        <v>14.125973106864826</v>
      </c>
      <c r="M60" t="s">
        <v>143</v>
      </c>
    </row>
    <row r="61" spans="2:14" x14ac:dyDescent="0.25">
      <c r="B61" s="23" t="s">
        <v>48</v>
      </c>
      <c r="C61" s="21">
        <v>150</v>
      </c>
      <c r="D61" t="s">
        <v>42</v>
      </c>
      <c r="K61" t="s">
        <v>135</v>
      </c>
      <c r="L61" s="41">
        <f>L58*50</f>
        <v>887.11111111111109</v>
      </c>
      <c r="M61" t="s">
        <v>132</v>
      </c>
    </row>
    <row r="62" spans="2:14" x14ac:dyDescent="0.25">
      <c r="B62" s="23" t="s">
        <v>49</v>
      </c>
      <c r="C62" s="21">
        <v>2.5</v>
      </c>
      <c r="D62" t="s">
        <v>50</v>
      </c>
    </row>
    <row r="63" spans="2:14" x14ac:dyDescent="0.25">
      <c r="B63" s="23" t="s">
        <v>58</v>
      </c>
      <c r="C63" s="21">
        <f>2.5*10*2+2.5*15*2+2*C61</f>
        <v>425</v>
      </c>
      <c r="D63" t="s">
        <v>42</v>
      </c>
      <c r="E63" t="s">
        <v>51</v>
      </c>
    </row>
    <row r="64" spans="2:14" x14ac:dyDescent="0.25">
      <c r="B64" s="23" t="s">
        <v>52</v>
      </c>
      <c r="C64" s="21">
        <f>C63-150-120</f>
        <v>155</v>
      </c>
      <c r="D64" t="s">
        <v>42</v>
      </c>
      <c r="E64" t="s">
        <v>53</v>
      </c>
    </row>
    <row r="65" spans="2:13" x14ac:dyDescent="0.25">
      <c r="B65" s="23" t="s">
        <v>45</v>
      </c>
      <c r="C65" s="21">
        <f>5+0.5+5+1.5*3</f>
        <v>15</v>
      </c>
      <c r="D65" t="s">
        <v>42</v>
      </c>
    </row>
    <row r="66" spans="2:13" x14ac:dyDescent="0.25">
      <c r="B66" s="23" t="s">
        <v>46</v>
      </c>
      <c r="C66" s="21">
        <v>0</v>
      </c>
      <c r="D66" t="s">
        <v>47</v>
      </c>
    </row>
    <row r="68" spans="2:13" x14ac:dyDescent="0.25">
      <c r="B68" s="23" t="s">
        <v>54</v>
      </c>
      <c r="C68">
        <f>C61*C62</f>
        <v>375</v>
      </c>
      <c r="D68" t="s">
        <v>56</v>
      </c>
    </row>
    <row r="69" spans="2:13" x14ac:dyDescent="0.25">
      <c r="B69" s="23" t="s">
        <v>55</v>
      </c>
      <c r="C69" s="32">
        <f>C63/C68</f>
        <v>1.1333333333333333</v>
      </c>
      <c r="D69" t="s">
        <v>57</v>
      </c>
    </row>
    <row r="70" spans="2:13" x14ac:dyDescent="0.25">
      <c r="B70" s="23" t="s">
        <v>168</v>
      </c>
      <c r="C70" s="32">
        <f>D52/C61</f>
        <v>199.6</v>
      </c>
      <c r="D70" t="s">
        <v>75</v>
      </c>
    </row>
    <row r="72" spans="2:13" ht="30" x14ac:dyDescent="0.25">
      <c r="B72" s="23" t="s">
        <v>167</v>
      </c>
      <c r="C72">
        <v>16</v>
      </c>
      <c r="D72" t="s">
        <v>47</v>
      </c>
    </row>
    <row r="74" spans="2:13" x14ac:dyDescent="0.25">
      <c r="B74" s="45" t="s">
        <v>59</v>
      </c>
    </row>
    <row r="75" spans="2:13" s="22" customFormat="1" x14ac:dyDescent="0.25">
      <c r="K75"/>
      <c r="L75" s="23"/>
      <c r="M75"/>
    </row>
    <row r="76" spans="2:13" ht="30" x14ac:dyDescent="0.25">
      <c r="B76" s="45" t="s">
        <v>76</v>
      </c>
      <c r="K76" s="22"/>
      <c r="L76" s="22"/>
      <c r="M76" s="22"/>
    </row>
    <row r="77" spans="2:13" x14ac:dyDescent="0.25">
      <c r="B77" s="24" t="s">
        <v>68</v>
      </c>
      <c r="C77" s="12" t="s">
        <v>69</v>
      </c>
      <c r="D77" s="5" t="s">
        <v>3</v>
      </c>
    </row>
    <row r="78" spans="2:13" x14ac:dyDescent="0.25">
      <c r="B78" s="25" t="s">
        <v>70</v>
      </c>
      <c r="C78" s="13">
        <v>50</v>
      </c>
      <c r="D78" s="8" t="s">
        <v>63</v>
      </c>
    </row>
    <row r="79" spans="2:13" x14ac:dyDescent="0.25">
      <c r="B79" s="25" t="s">
        <v>71</v>
      </c>
      <c r="C79" s="13">
        <v>10</v>
      </c>
      <c r="D79" s="8" t="s">
        <v>63</v>
      </c>
    </row>
    <row r="80" spans="2:13" x14ac:dyDescent="0.25">
      <c r="B80" s="25" t="s">
        <v>72</v>
      </c>
      <c r="C80" s="13">
        <v>10</v>
      </c>
      <c r="D80" s="8" t="s">
        <v>63</v>
      </c>
    </row>
    <row r="81" spans="2:5" x14ac:dyDescent="0.25">
      <c r="B81" s="25" t="s">
        <v>73</v>
      </c>
      <c r="C81" s="13">
        <v>30</v>
      </c>
      <c r="D81" s="8" t="s">
        <v>63</v>
      </c>
    </row>
    <row r="82" spans="2:5" ht="12" customHeight="1" x14ac:dyDescent="0.25">
      <c r="B82" s="24" t="s">
        <v>74</v>
      </c>
      <c r="C82" s="12">
        <f>SUM(C78:C81)</f>
        <v>100</v>
      </c>
      <c r="D82" s="5" t="s">
        <v>63</v>
      </c>
    </row>
    <row r="84" spans="2:5" ht="30" x14ac:dyDescent="0.25">
      <c r="B84" s="47" t="s">
        <v>106</v>
      </c>
      <c r="C84" s="22" t="s">
        <v>60</v>
      </c>
      <c r="E84" s="22"/>
    </row>
    <row r="85" spans="2:5" ht="30" x14ac:dyDescent="0.25">
      <c r="B85" s="24" t="s">
        <v>78</v>
      </c>
      <c r="C85" s="12" t="s">
        <v>151</v>
      </c>
      <c r="D85" s="33" t="s">
        <v>61</v>
      </c>
      <c r="E85" s="12" t="s">
        <v>3</v>
      </c>
    </row>
    <row r="86" spans="2:5" x14ac:dyDescent="0.25">
      <c r="B86" s="30" t="s">
        <v>77</v>
      </c>
      <c r="C86" s="34">
        <v>5</v>
      </c>
      <c r="D86" s="31">
        <v>5</v>
      </c>
      <c r="E86" s="34" t="s">
        <v>63</v>
      </c>
    </row>
    <row r="87" spans="2:5" x14ac:dyDescent="0.25">
      <c r="B87" s="25" t="s">
        <v>77</v>
      </c>
      <c r="C87" s="13">
        <v>10</v>
      </c>
      <c r="D87" s="7">
        <v>8</v>
      </c>
      <c r="E87" s="13" t="s">
        <v>63</v>
      </c>
    </row>
    <row r="88" spans="2:5" x14ac:dyDescent="0.25">
      <c r="B88" s="25" t="s">
        <v>77</v>
      </c>
      <c r="C88" s="13">
        <v>16</v>
      </c>
      <c r="D88" s="7">
        <v>20</v>
      </c>
      <c r="E88" s="13" t="s">
        <v>63</v>
      </c>
    </row>
    <row r="89" spans="2:5" x14ac:dyDescent="0.25">
      <c r="B89" s="26" t="s">
        <v>62</v>
      </c>
      <c r="C89" s="14">
        <v>20</v>
      </c>
      <c r="D89" s="2">
        <v>15</v>
      </c>
      <c r="E89" s="14" t="s">
        <v>63</v>
      </c>
    </row>
    <row r="91" spans="2:5" x14ac:dyDescent="0.25">
      <c r="B91" s="45" t="s">
        <v>64</v>
      </c>
    </row>
    <row r="92" spans="2:5" ht="30" x14ac:dyDescent="0.25">
      <c r="B92" s="24" t="s">
        <v>164</v>
      </c>
      <c r="C92" s="36" t="s">
        <v>163</v>
      </c>
      <c r="D92" s="33" t="s">
        <v>61</v>
      </c>
      <c r="E92" s="12" t="s">
        <v>3</v>
      </c>
    </row>
    <row r="93" spans="2:5" ht="30" x14ac:dyDescent="0.25">
      <c r="B93" s="30" t="s">
        <v>67</v>
      </c>
      <c r="C93" s="34">
        <v>2.2999999999999998</v>
      </c>
      <c r="D93" s="31">
        <v>0</v>
      </c>
      <c r="E93" s="34" t="s">
        <v>63</v>
      </c>
    </row>
    <row r="94" spans="2:5" x14ac:dyDescent="0.25">
      <c r="B94" s="25" t="s">
        <v>65</v>
      </c>
      <c r="C94" s="13">
        <v>1.3</v>
      </c>
      <c r="D94" s="7">
        <v>5</v>
      </c>
      <c r="E94" s="13" t="s">
        <v>63</v>
      </c>
    </row>
    <row r="95" spans="2:5" x14ac:dyDescent="0.25">
      <c r="B95" s="26" t="s">
        <v>66</v>
      </c>
      <c r="C95" s="14">
        <v>0.8</v>
      </c>
      <c r="D95" s="2">
        <v>7</v>
      </c>
      <c r="E95" s="14" t="s">
        <v>63</v>
      </c>
    </row>
    <row r="97" spans="2:4" x14ac:dyDescent="0.25">
      <c r="B97" s="45" t="s">
        <v>79</v>
      </c>
    </row>
    <row r="99" spans="2:4" x14ac:dyDescent="0.25">
      <c r="B99" s="45" t="s">
        <v>165</v>
      </c>
    </row>
    <row r="100" spans="2:4" x14ac:dyDescent="0.25">
      <c r="B100" s="23" t="s">
        <v>107</v>
      </c>
    </row>
    <row r="101" spans="2:4" x14ac:dyDescent="0.25">
      <c r="B101" s="23" t="s">
        <v>109</v>
      </c>
    </row>
    <row r="102" spans="2:4" x14ac:dyDescent="0.25">
      <c r="B102" s="23" t="s">
        <v>108</v>
      </c>
    </row>
    <row r="107" spans="2:4" x14ac:dyDescent="0.25">
      <c r="B107" s="23" t="s">
        <v>1</v>
      </c>
      <c r="C107" t="s">
        <v>101</v>
      </c>
      <c r="D107" t="s">
        <v>3</v>
      </c>
    </row>
    <row r="108" spans="2:4" x14ac:dyDescent="0.25">
      <c r="B108" s="23" t="s">
        <v>96</v>
      </c>
      <c r="C108" s="1">
        <f>$L$27*D86/100</f>
        <v>1197.5999999999999</v>
      </c>
      <c r="D108" t="s">
        <v>31</v>
      </c>
    </row>
    <row r="109" spans="2:4" x14ac:dyDescent="0.25">
      <c r="B109" s="23" t="s">
        <v>97</v>
      </c>
      <c r="C109" s="1">
        <f>$L$27*D87/100</f>
        <v>1916.16</v>
      </c>
      <c r="D109" t="s">
        <v>31</v>
      </c>
    </row>
    <row r="110" spans="2:4" x14ac:dyDescent="0.25">
      <c r="B110" s="23" t="s">
        <v>98</v>
      </c>
      <c r="C110" s="1">
        <f>$L$27*D88/100</f>
        <v>4790.3999999999996</v>
      </c>
      <c r="D110" t="s">
        <v>31</v>
      </c>
    </row>
    <row r="111" spans="2:4" x14ac:dyDescent="0.25">
      <c r="B111" s="23" t="s">
        <v>166</v>
      </c>
      <c r="C111" s="1">
        <f>$L$27*D95/100</f>
        <v>1676.64</v>
      </c>
      <c r="D111" t="s">
        <v>31</v>
      </c>
    </row>
    <row r="112" spans="2:4" x14ac:dyDescent="0.25">
      <c r="B112" s="23" t="s">
        <v>99</v>
      </c>
      <c r="C112" s="1">
        <f>$L$27*D89/100</f>
        <v>3592.8</v>
      </c>
      <c r="D112" t="s">
        <v>31</v>
      </c>
    </row>
    <row r="113" spans="2:4" x14ac:dyDescent="0.25">
      <c r="B113" s="23" t="s">
        <v>100</v>
      </c>
      <c r="C113" s="1">
        <f>C110+C111+C112</f>
        <v>10059.84</v>
      </c>
      <c r="D113" t="s">
        <v>31</v>
      </c>
    </row>
    <row r="114" spans="2:4" x14ac:dyDescent="0.25">
      <c r="B114" s="23" t="s">
        <v>103</v>
      </c>
      <c r="C114" s="1">
        <f>L27-C113</f>
        <v>13892.16</v>
      </c>
      <c r="D114" t="s">
        <v>31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Janez</dc:creator>
  <cp:lastModifiedBy>Roman</cp:lastModifiedBy>
  <dcterms:created xsi:type="dcterms:W3CDTF">2021-01-08T08:27:30Z</dcterms:created>
  <dcterms:modified xsi:type="dcterms:W3CDTF">2021-04-14T08:30:41Z</dcterms:modified>
</cp:coreProperties>
</file>